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Năm 2024\Hố lắng\"/>
    </mc:Choice>
  </mc:AlternateContent>
  <bookViews>
    <workbookView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F16" i="1" l="1"/>
  <c r="F10" i="1"/>
  <c r="F5" i="1"/>
  <c r="F15" i="1"/>
  <c r="F14" i="1"/>
  <c r="D14" i="1"/>
  <c r="L18" i="1"/>
  <c r="L21" i="1"/>
  <c r="L20" i="1"/>
  <c r="F13" i="1"/>
  <c r="D13" i="1"/>
  <c r="F12" i="1"/>
  <c r="D12" i="1"/>
  <c r="F11" i="1"/>
  <c r="F9" i="1"/>
  <c r="D8" i="1"/>
  <c r="D7" i="1"/>
  <c r="L4" i="1"/>
  <c r="L9" i="1"/>
  <c r="L8" i="1"/>
  <c r="L6" i="1"/>
  <c r="L7" i="1" s="1"/>
  <c r="D6" i="1"/>
  <c r="F6" i="1" s="1"/>
  <c r="F66" i="1" l="1"/>
  <c r="K64" i="1"/>
  <c r="M64" i="1" s="1"/>
  <c r="D64" i="1"/>
  <c r="D65" i="1" s="1"/>
  <c r="F65" i="1" s="1"/>
  <c r="F63" i="1"/>
  <c r="F61" i="1"/>
  <c r="D60" i="1"/>
  <c r="F60" i="1" s="1"/>
  <c r="D59" i="1"/>
  <c r="F59" i="1" s="1"/>
  <c r="D57" i="1"/>
  <c r="D58" i="1" s="1"/>
  <c r="F58" i="1" s="1"/>
  <c r="D55" i="1"/>
  <c r="F55" i="1" s="1"/>
  <c r="D54" i="1"/>
  <c r="F54" i="1" s="1"/>
  <c r="D53" i="1"/>
  <c r="F53" i="1" s="1"/>
  <c r="D52" i="1"/>
  <c r="F52" i="1" s="1"/>
  <c r="D51" i="1"/>
  <c r="F51" i="1" s="1"/>
  <c r="D49" i="1"/>
  <c r="F49" i="1" s="1"/>
  <c r="D47" i="1"/>
  <c r="D48" i="1" s="1"/>
  <c r="F48" i="1" s="1"/>
  <c r="D45" i="1"/>
  <c r="D46" i="1" s="1"/>
  <c r="F46" i="1" s="1"/>
  <c r="D44" i="1"/>
  <c r="F44" i="1" s="1"/>
  <c r="F57" i="1" l="1"/>
  <c r="F45" i="1"/>
  <c r="F50" i="1"/>
  <c r="F47" i="1"/>
  <c r="F64" i="1"/>
  <c r="F62" i="1" s="1"/>
  <c r="F56" i="1" s="1"/>
  <c r="D41" i="1"/>
  <c r="F41" i="1" s="1"/>
  <c r="F43" i="1" l="1"/>
  <c r="F42" i="1"/>
  <c r="F8" i="1"/>
  <c r="F67" i="1" l="1"/>
</calcChain>
</file>

<file path=xl/sharedStrings.xml><?xml version="1.0" encoding="utf-8"?>
<sst xmlns="http://schemas.openxmlformats.org/spreadsheetml/2006/main" count="99" uniqueCount="68">
  <si>
    <t xml:space="preserve">ỦY BAN NHÂN DÂN 
XÃ THỌ ĐIỀN </t>
  </si>
  <si>
    <t>TT</t>
  </si>
  <si>
    <t xml:space="preserve">Nội dung thực hiện </t>
  </si>
  <si>
    <t xml:space="preserve">Đơn vị </t>
  </si>
  <si>
    <t xml:space="preserve">Số lượng </t>
  </si>
  <si>
    <t xml:space="preserve">Đơn giá </t>
  </si>
  <si>
    <t xml:space="preserve">Thành tiền </t>
  </si>
  <si>
    <t xml:space="preserve">Ghi chú </t>
  </si>
  <si>
    <t xml:space="preserve">CỘNG HÒA XÃ HỘI CHỦ NGHĨA VIỆT NAM 
Độc Lập - Tự Do - Hạnh Phúc </t>
  </si>
  <si>
    <t>I</t>
  </si>
  <si>
    <t>m3</t>
  </si>
  <si>
    <t xml:space="preserve">Khối lượng cát </t>
  </si>
  <si>
    <t>Khối lượng xi măng M150 (288.02kg/m3)</t>
  </si>
  <si>
    <t>kg</t>
  </si>
  <si>
    <t xml:space="preserve">Viên </t>
  </si>
  <si>
    <t>m2</t>
  </si>
  <si>
    <t xml:space="preserve">Nhân công thực hiện </t>
  </si>
  <si>
    <t xml:space="preserve">công </t>
  </si>
  <si>
    <t>a</t>
  </si>
  <si>
    <t>b</t>
  </si>
  <si>
    <t>IV</t>
  </si>
  <si>
    <t xml:space="preserve">Tổng </t>
  </si>
  <si>
    <t xml:space="preserve">Người lập </t>
  </si>
  <si>
    <t xml:space="preserve">Nguyễn Văn Luận </t>
  </si>
  <si>
    <t xml:space="preserve">Cổng trường mầm non </t>
  </si>
  <si>
    <t xml:space="preserve">Bên phải </t>
  </si>
  <si>
    <t>Khối lượng đất san lấp mặt bằng
79*3.7*0.2</t>
  </si>
  <si>
    <t>Khối lượng cát láng nền 
79*3.7*0.07*1.12</t>
  </si>
  <si>
    <t xml:space="preserve">
Khối lượng xi măng láng nền M100 (315kg/m3)
22.9*315
</t>
  </si>
  <si>
    <t>Số lượng gạch Blok lát nền 
79*3.7</t>
  </si>
  <si>
    <t>Khối lượng xi măng lát gạch Blok (5kg/m2)
292.3*5</t>
  </si>
  <si>
    <t xml:space="preserve">Nhân công </t>
  </si>
  <si>
    <t>Nhân công
79*3.7</t>
  </si>
  <si>
    <t xml:space="preserve">Bên trái </t>
  </si>
  <si>
    <t>Khối lượng đào đất
80*1.5*0.1</t>
  </si>
  <si>
    <t>Khối lượng đá 1x2 
80*1.5*0.1*0.9</t>
  </si>
  <si>
    <t>Khối lượng cát 
80*1.5*0.1*0.5</t>
  </si>
  <si>
    <t>Khối lượng xi măng M150 (288.02kg/m3)
80*1.5*0.1*288.02</t>
  </si>
  <si>
    <t>Nhân công 
80*1.5*0.1</t>
  </si>
  <si>
    <t xml:space="preserve">Trạm y tế xã Sơn Thọ </t>
  </si>
  <si>
    <t>V</t>
  </si>
  <si>
    <t>Đỗ bê tông khuôn viên trạm y tế
((31.6*4*0.1)+(25*1.5*0.1)+(14.7*2*0.1)+(5.3*6.2*0.1))</t>
  </si>
  <si>
    <t xml:space="preserve">
Khối lượng đá 1x2
22.616*0.9
</t>
  </si>
  <si>
    <t>Khối lượng cát 
22.616*0.5</t>
  </si>
  <si>
    <t>Xi măng M150 (288.02/m3)
22.616*288.02</t>
  </si>
  <si>
    <t xml:space="preserve">Tu sửa cổng </t>
  </si>
  <si>
    <t xml:space="preserve">Nhân công phá dỡ gạch ốp và dầm ngang </t>
  </si>
  <si>
    <t>Số lượng gạch ốp 
(3.1*0.65*4)*2</t>
  </si>
  <si>
    <t>Khối lượng xi măng ốp gạch (4kg/m2)
16.12*5</t>
  </si>
  <si>
    <t xml:space="preserve">Nhân công ốp gạch </t>
  </si>
  <si>
    <t xml:space="preserve">TM. ỦY BAN NHÂN DÂN 
CHỦ TỊCH </t>
  </si>
  <si>
    <t xml:space="preserve">Nguyễn Đăng Nhàn </t>
  </si>
  <si>
    <t xml:space="preserve">
Xây dựng công trình hố lắng
 (Dài, Rộng, Cao)
2,5*0,7*0.7
</t>
  </si>
  <si>
    <t>Khối lượng gạch  xây kích thước (0.27*0.1*0.15)
((2.5*2)+(0.7*4))*0.7*21</t>
  </si>
  <si>
    <t>Khối lượng cát xây hố lắng 
((2.5*2)+(0.7*4))*0.1*0.7*0.23</t>
  </si>
  <si>
    <t>m</t>
  </si>
  <si>
    <t>Ông nhựa phi 60</t>
  </si>
  <si>
    <t xml:space="preserve">Khối lượng vật liệu hố lắng </t>
  </si>
  <si>
    <t>II</t>
  </si>
  <si>
    <t>Khối lượng đá 1x2</t>
  </si>
  <si>
    <t>Khối lượng vật liệu làm nắp đậy
2.5m*0.9m*0.05m</t>
  </si>
  <si>
    <t>III</t>
  </si>
  <si>
    <t>A</t>
  </si>
  <si>
    <t>Khối lượng thép F8</t>
  </si>
  <si>
    <t>DỰ TOÁN CHI TIẾT
XÂY DỰNG HỐ LẮNG LỌC, NƯỚC THẢI SINH HOẠT</t>
  </si>
  <si>
    <t>Người lập</t>
  </si>
  <si>
    <t>TM. ỦY BAN NHÂN DÂN 
CHỦ TỊCH</t>
  </si>
  <si>
    <t xml:space="preserve">Làm Tròn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</si>
</sst>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3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43" fontId="3" fillId="0" borderId="1" xfId="1" applyNumberFormat="1" applyFont="1" applyBorder="1" applyAlignment="1">
      <alignment horizontal="center" vertical="center"/>
    </xf>
    <xf numFmtId="43" fontId="2" fillId="0" borderId="1" xfId="1" applyNumberFormat="1" applyFont="1" applyBorder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828675</xdr:colOff>
      <xdr:row>0</xdr:row>
      <xdr:rowOff>581025</xdr:rowOff>
    </xdr:from>
    <xdr:to>
      <xdr:col>1</xdr:col>
      <xdr:colOff>1514475</xdr:colOff>
      <xdr:row>0</xdr:row>
      <xdr:rowOff>581025</xdr:rowOff>
    </xdr:to>
    <xdr:cxnSp macro="">
      <xdr:nvCxnSpPr>
        <xdr:cNvPr id="13" name="Straight Connector 12"/>
        <xdr:cNvCxnSpPr/>
      </xdr:nvCxnSpPr>
      <xdr:spPr>
        <a:xfrm>
          <a:off x="1247775" y="581025"/>
          <a:ext cx="6858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314325</xdr:colOff>
      <xdr:row>0</xdr:row>
      <xdr:rowOff>590550</xdr:rowOff>
    </xdr:from>
    <xdr:to>
      <xdr:col>5</xdr:col>
      <xdr:colOff>638175</xdr:colOff>
      <xdr:row>0</xdr:row>
      <xdr:rowOff>590550</xdr:rowOff>
    </xdr:to>
    <xdr:cxnSp macro="">
      <xdr:nvCxnSpPr>
        <xdr:cNvPr id="21" name="Straight Connector 20"/>
        <xdr:cNvCxnSpPr/>
      </xdr:nvCxnSpPr>
      <xdr:spPr>
        <a:xfrm>
          <a:off x="4067175" y="590550"/>
          <a:ext cx="16954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tabSelected="1" topLeftCell="A4" workbookViewId="0">
      <selection activeCell="F7" sqref="F7"/>
    </sheetView>
  </sheetViews>
  <sheetFormatPr defaultColWidth="9.140625" defaultRowHeight="15.75" x14ac:dyDescent="0.25"/>
  <cols>
    <col min="1" max="1" width="6.28515625" style="3" customWidth="1"/>
    <col min="2" max="2" width="42.28515625" style="3" customWidth="1"/>
    <col min="3" max="3" width="7.7109375" style="3" customWidth="1"/>
    <col min="4" max="4" width="9.140625" style="3" customWidth="1"/>
    <col min="5" max="5" width="11.42578125" style="3" bestFit="1" customWidth="1"/>
    <col min="6" max="6" width="13.85546875" style="3" customWidth="1"/>
    <col min="7" max="10" width="9.140625" style="3"/>
    <col min="11" max="11" width="13.5703125" style="3" bestFit="1" customWidth="1"/>
    <col min="12" max="12" width="38.85546875" style="3" customWidth="1"/>
    <col min="13" max="13" width="9.28515625" style="3" bestFit="1" customWidth="1"/>
    <col min="14" max="16384" width="9.140625" style="3"/>
  </cols>
  <sheetData>
    <row r="1" spans="1:12" ht="63" customHeight="1" x14ac:dyDescent="0.25">
      <c r="A1" s="1" t="s">
        <v>0</v>
      </c>
      <c r="B1" s="1"/>
      <c r="C1" s="1" t="s">
        <v>8</v>
      </c>
      <c r="D1" s="2"/>
      <c r="E1" s="2"/>
      <c r="F1" s="2"/>
      <c r="G1" s="2"/>
    </row>
    <row r="2" spans="1:12" ht="36.75" customHeight="1" x14ac:dyDescent="0.25">
      <c r="A2" s="1" t="s">
        <v>64</v>
      </c>
      <c r="B2" s="1"/>
      <c r="C2" s="1"/>
      <c r="D2" s="1"/>
      <c r="E2" s="1"/>
      <c r="F2" s="1"/>
      <c r="G2" s="1"/>
    </row>
    <row r="3" spans="1:12" ht="21.75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 spans="1:12" ht="61.5" customHeight="1" x14ac:dyDescent="0.25">
      <c r="A4" s="4" t="s">
        <v>62</v>
      </c>
      <c r="B4" s="5" t="s">
        <v>52</v>
      </c>
      <c r="C4" s="6"/>
      <c r="D4" s="6"/>
      <c r="E4" s="6"/>
      <c r="F4" s="7"/>
      <c r="G4" s="6"/>
      <c r="L4" s="8">
        <f>1-(189*0.27*0.1*0.15)</f>
        <v>0.23454999999999993</v>
      </c>
    </row>
    <row r="5" spans="1:12" ht="26.25" customHeight="1" x14ac:dyDescent="0.25">
      <c r="A5" s="4" t="s">
        <v>9</v>
      </c>
      <c r="B5" s="5" t="s">
        <v>57</v>
      </c>
      <c r="C5" s="6"/>
      <c r="D5" s="6"/>
      <c r="E5" s="6"/>
      <c r="F5" s="7">
        <f>SUM(F6:F9)</f>
        <v>547956.15999999992</v>
      </c>
      <c r="G5" s="6"/>
      <c r="L5" s="8"/>
    </row>
    <row r="6" spans="1:12" ht="45" customHeight="1" x14ac:dyDescent="0.25">
      <c r="A6" s="6">
        <v>1</v>
      </c>
      <c r="B6" s="9" t="s">
        <v>53</v>
      </c>
      <c r="C6" s="6" t="s">
        <v>14</v>
      </c>
      <c r="D6" s="10">
        <f>((2.5*2)+(0.7*4))*0.7*21</f>
        <v>114.66</v>
      </c>
      <c r="E6" s="11">
        <v>2800</v>
      </c>
      <c r="F6" s="12">
        <f>D6*E6</f>
        <v>321048</v>
      </c>
      <c r="G6" s="6"/>
      <c r="L6" s="3">
        <f>0.27*3.5</f>
        <v>0.94500000000000006</v>
      </c>
    </row>
    <row r="7" spans="1:12" ht="36.75" customHeight="1" x14ac:dyDescent="0.25">
      <c r="A7" s="6">
        <v>2</v>
      </c>
      <c r="B7" s="9" t="s">
        <v>54</v>
      </c>
      <c r="C7" s="6" t="s">
        <v>10</v>
      </c>
      <c r="D7" s="13">
        <f>((2.5*2)+(0.7*4))*0.1*0.7*0.23</f>
        <v>0.12558</v>
      </c>
      <c r="E7" s="11">
        <v>250000</v>
      </c>
      <c r="F7" s="12">
        <v>50000</v>
      </c>
      <c r="G7" s="6"/>
      <c r="L7" s="3">
        <f>1-L6</f>
        <v>5.4999999999999938E-2</v>
      </c>
    </row>
    <row r="8" spans="1:12" ht="25.5" customHeight="1" x14ac:dyDescent="0.25">
      <c r="A8" s="6">
        <v>3</v>
      </c>
      <c r="B8" s="6" t="s">
        <v>12</v>
      </c>
      <c r="C8" s="6" t="s">
        <v>13</v>
      </c>
      <c r="D8" s="6">
        <f>0.13*288.02</f>
        <v>37.442599999999999</v>
      </c>
      <c r="E8" s="11">
        <v>1600</v>
      </c>
      <c r="F8" s="12">
        <f>D8*E8</f>
        <v>59908.159999999996</v>
      </c>
      <c r="G8" s="6"/>
      <c r="L8" s="3">
        <f>5/4</f>
        <v>1.25</v>
      </c>
    </row>
    <row r="9" spans="1:12" ht="25.5" customHeight="1" x14ac:dyDescent="0.25">
      <c r="A9" s="6">
        <v>4</v>
      </c>
      <c r="B9" s="6" t="s">
        <v>56</v>
      </c>
      <c r="C9" s="6" t="s">
        <v>55</v>
      </c>
      <c r="D9" s="6">
        <v>1.5</v>
      </c>
      <c r="E9" s="11">
        <v>78000</v>
      </c>
      <c r="F9" s="12">
        <f>D9*E9</f>
        <v>117000</v>
      </c>
      <c r="G9" s="6"/>
      <c r="L9" s="3">
        <f>1/8</f>
        <v>0.125</v>
      </c>
    </row>
    <row r="10" spans="1:12" ht="33.75" customHeight="1" x14ac:dyDescent="0.25">
      <c r="A10" s="4" t="s">
        <v>58</v>
      </c>
      <c r="B10" s="5" t="s">
        <v>60</v>
      </c>
      <c r="C10" s="6"/>
      <c r="D10" s="6"/>
      <c r="E10" s="11"/>
      <c r="F10" s="7">
        <f>SUM(F11:F15)</f>
        <v>1292114.3</v>
      </c>
      <c r="G10" s="6"/>
    </row>
    <row r="11" spans="1:12" ht="25.5" customHeight="1" x14ac:dyDescent="0.25">
      <c r="A11" s="6">
        <v>1</v>
      </c>
      <c r="B11" s="6" t="s">
        <v>59</v>
      </c>
      <c r="C11" s="6" t="s">
        <v>10</v>
      </c>
      <c r="D11" s="6">
        <f>2.5*0.9*0.05*0.9</f>
        <v>0.10125000000000001</v>
      </c>
      <c r="E11" s="11">
        <v>360000</v>
      </c>
      <c r="F11" s="12">
        <f>D11*E11</f>
        <v>36450</v>
      </c>
      <c r="G11" s="6"/>
    </row>
    <row r="12" spans="1:12" ht="25.5" customHeight="1" x14ac:dyDescent="0.25">
      <c r="A12" s="6">
        <v>2</v>
      </c>
      <c r="B12" s="9" t="s">
        <v>11</v>
      </c>
      <c r="C12" s="6" t="s">
        <v>10</v>
      </c>
      <c r="D12" s="6">
        <f>2.5*0.9*0.05*0.5</f>
        <v>5.6250000000000001E-2</v>
      </c>
      <c r="E12" s="11">
        <v>250000</v>
      </c>
      <c r="F12" s="14">
        <f>D12*E12</f>
        <v>14062.5</v>
      </c>
      <c r="G12" s="6"/>
    </row>
    <row r="13" spans="1:12" ht="25.5" customHeight="1" x14ac:dyDescent="0.25">
      <c r="A13" s="6">
        <v>3</v>
      </c>
      <c r="B13" s="9" t="s">
        <v>12</v>
      </c>
      <c r="C13" s="6" t="s">
        <v>13</v>
      </c>
      <c r="D13" s="6">
        <f>2.5*0.9*0.05*0.5*288.02</f>
        <v>16.201125000000001</v>
      </c>
      <c r="E13" s="11">
        <v>1600</v>
      </c>
      <c r="F13" s="14">
        <f>D13*E13</f>
        <v>25921.800000000003</v>
      </c>
      <c r="G13" s="6"/>
    </row>
    <row r="14" spans="1:12" ht="25.5" customHeight="1" x14ac:dyDescent="0.25">
      <c r="A14" s="6">
        <v>4</v>
      </c>
      <c r="B14" s="9" t="s">
        <v>63</v>
      </c>
      <c r="C14" s="6" t="s">
        <v>13</v>
      </c>
      <c r="D14" s="6">
        <f>117.2*0.22</f>
        <v>25.784000000000002</v>
      </c>
      <c r="E14" s="11">
        <v>20000</v>
      </c>
      <c r="F14" s="14">
        <f>D14*E14</f>
        <v>515680.00000000006</v>
      </c>
      <c r="G14" s="6"/>
    </row>
    <row r="15" spans="1:12" s="15" customFormat="1" ht="25.5" customHeight="1" x14ac:dyDescent="0.25">
      <c r="A15" s="4" t="s">
        <v>61</v>
      </c>
      <c r="B15" s="5" t="s">
        <v>31</v>
      </c>
      <c r="C15" s="6" t="s">
        <v>17</v>
      </c>
      <c r="D15" s="6">
        <v>2</v>
      </c>
      <c r="E15" s="11">
        <v>350000</v>
      </c>
      <c r="F15" s="7">
        <f>D15*E15</f>
        <v>700000</v>
      </c>
      <c r="G15" s="4"/>
    </row>
    <row r="16" spans="1:12" ht="25.5" customHeight="1" x14ac:dyDescent="0.25">
      <c r="A16" s="6"/>
      <c r="B16" s="4" t="s">
        <v>21</v>
      </c>
      <c r="C16" s="6"/>
      <c r="D16" s="6"/>
      <c r="E16" s="6"/>
      <c r="F16" s="7">
        <f>F15+F10+F5</f>
        <v>2540070.46</v>
      </c>
      <c r="G16" s="6"/>
    </row>
    <row r="17" spans="1:12" s="16" customFormat="1" ht="25.5" customHeight="1" x14ac:dyDescent="0.25">
      <c r="A17" s="6"/>
      <c r="B17" s="4" t="s">
        <v>67</v>
      </c>
      <c r="C17" s="6"/>
      <c r="D17" s="6"/>
      <c r="E17" s="6"/>
      <c r="F17" s="7">
        <v>2540000</v>
      </c>
      <c r="G17" s="6"/>
    </row>
    <row r="18" spans="1:12" ht="56.25" customHeight="1" x14ac:dyDescent="0.25">
      <c r="B18" s="15" t="s">
        <v>65</v>
      </c>
      <c r="C18" s="17" t="s">
        <v>66</v>
      </c>
      <c r="D18" s="18"/>
      <c r="E18" s="18"/>
      <c r="F18" s="18"/>
      <c r="G18" s="18"/>
      <c r="L18" s="3">
        <f>0.9/0.2*2.45</f>
        <v>11.025</v>
      </c>
    </row>
    <row r="20" spans="1:12" ht="36" customHeight="1" x14ac:dyDescent="0.25">
      <c r="L20" s="3">
        <f>2.5/0.2*8.5</f>
        <v>106.25</v>
      </c>
    </row>
    <row r="21" spans="1:12" ht="36" customHeight="1" x14ac:dyDescent="0.25">
      <c r="B21" s="15" t="s">
        <v>23</v>
      </c>
      <c r="C21" s="2" t="s">
        <v>51</v>
      </c>
      <c r="D21" s="2"/>
      <c r="E21" s="2"/>
      <c r="F21" s="2"/>
      <c r="G21" s="2"/>
      <c r="L21" s="3">
        <f>L18+L20</f>
        <v>117.27500000000001</v>
      </c>
    </row>
    <row r="22" spans="1:12" ht="36" customHeight="1" x14ac:dyDescent="0.25"/>
    <row r="23" spans="1:12" ht="36" customHeight="1" x14ac:dyDescent="0.25"/>
    <row r="24" spans="1:12" ht="36" customHeight="1" x14ac:dyDescent="0.25"/>
    <row r="25" spans="1:12" ht="36" customHeight="1" x14ac:dyDescent="0.25"/>
    <row r="26" spans="1:12" ht="36" customHeight="1" x14ac:dyDescent="0.25"/>
    <row r="27" spans="1:12" ht="36" customHeight="1" x14ac:dyDescent="0.25"/>
    <row r="28" spans="1:12" ht="27" customHeight="1" x14ac:dyDescent="0.25"/>
    <row r="29" spans="1:12" ht="27" customHeight="1" x14ac:dyDescent="0.25"/>
    <row r="30" spans="1:12" ht="38.25" customHeight="1" x14ac:dyDescent="0.25"/>
    <row r="34" spans="1:7" ht="22.5" customHeight="1" x14ac:dyDescent="0.25"/>
    <row r="36" spans="1:7" s="15" customFormat="1" ht="31.5" customHeight="1" x14ac:dyDescent="0.25"/>
    <row r="37" spans="1:7" ht="36" customHeight="1" x14ac:dyDescent="0.25"/>
    <row r="38" spans="1:7" ht="44.25" customHeight="1" x14ac:dyDescent="0.25"/>
    <row r="39" spans="1:7" ht="36" customHeight="1" x14ac:dyDescent="0.25"/>
    <row r="40" spans="1:7" ht="36" customHeight="1" x14ac:dyDescent="0.25"/>
    <row r="41" spans="1:7" ht="36" customHeight="1" x14ac:dyDescent="0.25">
      <c r="A41" s="6">
        <v>5</v>
      </c>
      <c r="B41" s="6" t="s">
        <v>16</v>
      </c>
      <c r="C41" s="6" t="s">
        <v>15</v>
      </c>
      <c r="D41" s="6">
        <f>28*10</f>
        <v>280</v>
      </c>
      <c r="E41" s="6">
        <v>90000</v>
      </c>
      <c r="F41" s="11">
        <f>D41*E41</f>
        <v>25200000</v>
      </c>
      <c r="G41" s="6"/>
    </row>
    <row r="42" spans="1:7" ht="36" customHeight="1" x14ac:dyDescent="0.25">
      <c r="A42" s="4" t="s">
        <v>20</v>
      </c>
      <c r="B42" s="4" t="s">
        <v>24</v>
      </c>
      <c r="C42" s="6"/>
      <c r="D42" s="6"/>
      <c r="E42" s="6"/>
      <c r="F42" s="19">
        <f>F43+F50</f>
        <v>92570289.280000001</v>
      </c>
      <c r="G42" s="6"/>
    </row>
    <row r="43" spans="1:7" ht="36" customHeight="1" x14ac:dyDescent="0.25">
      <c r="A43" s="4" t="s">
        <v>18</v>
      </c>
      <c r="B43" s="4" t="s">
        <v>25</v>
      </c>
      <c r="C43" s="6"/>
      <c r="D43" s="6"/>
      <c r="E43" s="6"/>
      <c r="F43" s="19">
        <f>SUM(F44:F49)</f>
        <v>79538805.280000001</v>
      </c>
      <c r="G43" s="6"/>
    </row>
    <row r="44" spans="1:7" ht="36" customHeight="1" x14ac:dyDescent="0.25">
      <c r="A44" s="6">
        <v>1</v>
      </c>
      <c r="B44" s="9" t="s">
        <v>26</v>
      </c>
      <c r="C44" s="6" t="s">
        <v>10</v>
      </c>
      <c r="D44" s="6">
        <f>79*3.7*0.2</f>
        <v>58.460000000000008</v>
      </c>
      <c r="E44" s="11">
        <v>150000</v>
      </c>
      <c r="F44" s="11">
        <f t="shared" ref="F44:F49" si="0">D44*E44</f>
        <v>8769000.0000000019</v>
      </c>
      <c r="G44" s="6"/>
    </row>
    <row r="45" spans="1:7" ht="36" customHeight="1" x14ac:dyDescent="0.25">
      <c r="A45" s="6">
        <v>2</v>
      </c>
      <c r="B45" s="9" t="s">
        <v>27</v>
      </c>
      <c r="C45" s="6" t="s">
        <v>10</v>
      </c>
      <c r="D45" s="6">
        <f>79*3.7*0.07*1.12</f>
        <v>22.916320000000006</v>
      </c>
      <c r="E45" s="11">
        <v>250000</v>
      </c>
      <c r="F45" s="11">
        <f t="shared" si="0"/>
        <v>5729080.0000000019</v>
      </c>
      <c r="G45" s="6"/>
    </row>
    <row r="46" spans="1:7" ht="36" customHeight="1" x14ac:dyDescent="0.25">
      <c r="A46" s="6">
        <v>3</v>
      </c>
      <c r="B46" s="9" t="s">
        <v>28</v>
      </c>
      <c r="C46" s="6" t="s">
        <v>13</v>
      </c>
      <c r="D46" s="6">
        <f>D45*315</f>
        <v>7218.6408000000019</v>
      </c>
      <c r="E46" s="11">
        <v>1600</v>
      </c>
      <c r="F46" s="20">
        <f t="shared" si="0"/>
        <v>11549825.280000003</v>
      </c>
      <c r="G46" s="6"/>
    </row>
    <row r="47" spans="1:7" ht="36" customHeight="1" x14ac:dyDescent="0.25">
      <c r="A47" s="6">
        <v>4</v>
      </c>
      <c r="B47" s="9" t="s">
        <v>29</v>
      </c>
      <c r="C47" s="6" t="s">
        <v>15</v>
      </c>
      <c r="D47" s="6">
        <f>79*3.7</f>
        <v>292.3</v>
      </c>
      <c r="E47" s="11">
        <v>85000</v>
      </c>
      <c r="F47" s="20">
        <f t="shared" si="0"/>
        <v>24845500</v>
      </c>
      <c r="G47" s="6"/>
    </row>
    <row r="48" spans="1:7" ht="36" customHeight="1" x14ac:dyDescent="0.25">
      <c r="A48" s="6">
        <v>5</v>
      </c>
      <c r="B48" s="9" t="s">
        <v>30</v>
      </c>
      <c r="C48" s="6" t="s">
        <v>13</v>
      </c>
      <c r="D48" s="6">
        <f>D47*5</f>
        <v>1461.5</v>
      </c>
      <c r="E48" s="11">
        <v>1600</v>
      </c>
      <c r="F48" s="20">
        <f t="shared" si="0"/>
        <v>2338400</v>
      </c>
      <c r="G48" s="6"/>
    </row>
    <row r="49" spans="1:13" ht="36" customHeight="1" x14ac:dyDescent="0.25">
      <c r="A49" s="6">
        <v>6</v>
      </c>
      <c r="B49" s="9" t="s">
        <v>32</v>
      </c>
      <c r="C49" s="6" t="s">
        <v>15</v>
      </c>
      <c r="D49" s="6">
        <f>79*3.7</f>
        <v>292.3</v>
      </c>
      <c r="E49" s="11">
        <v>90000</v>
      </c>
      <c r="F49" s="20">
        <f t="shared" si="0"/>
        <v>26307000</v>
      </c>
      <c r="G49" s="6"/>
    </row>
    <row r="50" spans="1:13" ht="36" customHeight="1" x14ac:dyDescent="0.25">
      <c r="A50" s="4" t="s">
        <v>19</v>
      </c>
      <c r="B50" s="5" t="s">
        <v>33</v>
      </c>
      <c r="C50" s="6"/>
      <c r="D50" s="6"/>
      <c r="E50" s="11"/>
      <c r="F50" s="21">
        <f>SUM(F51:F55)</f>
        <v>13031484</v>
      </c>
      <c r="G50" s="6"/>
    </row>
    <row r="51" spans="1:13" ht="36" customHeight="1" x14ac:dyDescent="0.25">
      <c r="A51" s="6">
        <v>1</v>
      </c>
      <c r="B51" s="9" t="s">
        <v>34</v>
      </c>
      <c r="C51" s="6" t="s">
        <v>10</v>
      </c>
      <c r="D51" s="6">
        <f>80*1.5*0.1</f>
        <v>12</v>
      </c>
      <c r="E51" s="11">
        <v>60000</v>
      </c>
      <c r="F51" s="11">
        <f>D51*E51</f>
        <v>720000</v>
      </c>
      <c r="G51" s="6"/>
    </row>
    <row r="52" spans="1:13" ht="36" customHeight="1" x14ac:dyDescent="0.25">
      <c r="A52" s="6">
        <v>2</v>
      </c>
      <c r="B52" s="9" t="s">
        <v>35</v>
      </c>
      <c r="C52" s="6" t="s">
        <v>10</v>
      </c>
      <c r="D52" s="6">
        <f>80*1.5*0.1*0.9</f>
        <v>10.8</v>
      </c>
      <c r="E52" s="11">
        <v>350000</v>
      </c>
      <c r="F52" s="20">
        <f>D52*E52</f>
        <v>3780000.0000000005</v>
      </c>
      <c r="G52" s="6"/>
    </row>
    <row r="53" spans="1:13" ht="36" customHeight="1" x14ac:dyDescent="0.25">
      <c r="A53" s="6">
        <v>3</v>
      </c>
      <c r="B53" s="9" t="s">
        <v>36</v>
      </c>
      <c r="C53" s="6" t="s">
        <v>10</v>
      </c>
      <c r="D53" s="6">
        <f>80*1.5*0.1*0.5</f>
        <v>6</v>
      </c>
      <c r="E53" s="11">
        <v>250</v>
      </c>
      <c r="F53" s="20">
        <f>D53*E53</f>
        <v>1500</v>
      </c>
      <c r="G53" s="6"/>
    </row>
    <row r="54" spans="1:13" ht="36" customHeight="1" x14ac:dyDescent="0.25">
      <c r="A54" s="6">
        <v>4</v>
      </c>
      <c r="B54" s="9" t="s">
        <v>37</v>
      </c>
      <c r="C54" s="6" t="s">
        <v>13</v>
      </c>
      <c r="D54" s="6">
        <f>80*1.5*0.1*288.02</f>
        <v>3456.24</v>
      </c>
      <c r="E54" s="11">
        <v>1600</v>
      </c>
      <c r="F54" s="20">
        <f>D54*E54</f>
        <v>5529984</v>
      </c>
      <c r="G54" s="6"/>
    </row>
    <row r="55" spans="1:13" ht="36" customHeight="1" x14ac:dyDescent="0.25">
      <c r="A55" s="6">
        <v>5</v>
      </c>
      <c r="B55" s="9" t="s">
        <v>38</v>
      </c>
      <c r="C55" s="6" t="s">
        <v>10</v>
      </c>
      <c r="D55" s="6">
        <f>80*1.5*0.1</f>
        <v>12</v>
      </c>
      <c r="E55" s="11">
        <v>250000</v>
      </c>
      <c r="F55" s="20">
        <f>D55*E55</f>
        <v>3000000</v>
      </c>
      <c r="G55" s="6"/>
    </row>
    <row r="56" spans="1:13" ht="36" customHeight="1" x14ac:dyDescent="0.25">
      <c r="A56" s="4" t="s">
        <v>40</v>
      </c>
      <c r="B56" s="5" t="s">
        <v>39</v>
      </c>
      <c r="C56" s="6"/>
      <c r="D56" s="6"/>
      <c r="E56" s="11"/>
      <c r="F56" s="21">
        <f>F57+F62</f>
        <v>32636176.512000002</v>
      </c>
      <c r="G56" s="6"/>
    </row>
    <row r="57" spans="1:13" ht="36" customHeight="1" x14ac:dyDescent="0.25">
      <c r="A57" s="4" t="s">
        <v>18</v>
      </c>
      <c r="B57" s="9" t="s">
        <v>41</v>
      </c>
      <c r="C57" s="6" t="s">
        <v>10</v>
      </c>
      <c r="D57" s="6">
        <f>((31.6*4*0.1)+(25*1.5*0.1)+(14.7*2*0.1)+(6.2*5.3*0.1))</f>
        <v>22.616000000000003</v>
      </c>
      <c r="E57" s="11"/>
      <c r="F57" s="21">
        <f>SUM(F58:F61)</f>
        <v>26027216.512000002</v>
      </c>
      <c r="G57" s="6"/>
    </row>
    <row r="58" spans="1:13" ht="36" customHeight="1" x14ac:dyDescent="0.25">
      <c r="A58" s="6">
        <v>1</v>
      </c>
      <c r="B58" s="9" t="s">
        <v>42</v>
      </c>
      <c r="C58" s="6" t="s">
        <v>10</v>
      </c>
      <c r="D58" s="6">
        <f>D57*0.9</f>
        <v>20.354400000000002</v>
      </c>
      <c r="E58" s="11">
        <v>350000</v>
      </c>
      <c r="F58" s="20">
        <f>D58*E58</f>
        <v>7124040.0000000009</v>
      </c>
      <c r="G58" s="6"/>
    </row>
    <row r="59" spans="1:13" ht="36" customHeight="1" x14ac:dyDescent="0.25">
      <c r="A59" s="6">
        <v>2</v>
      </c>
      <c r="B59" s="9" t="s">
        <v>43</v>
      </c>
      <c r="C59" s="6" t="s">
        <v>10</v>
      </c>
      <c r="D59" s="6">
        <f>22.616*0.5</f>
        <v>11.308</v>
      </c>
      <c r="E59" s="11">
        <v>250000</v>
      </c>
      <c r="F59" s="20">
        <f>D59*E59</f>
        <v>2827000</v>
      </c>
      <c r="G59" s="6"/>
    </row>
    <row r="60" spans="1:13" ht="36" customHeight="1" x14ac:dyDescent="0.25">
      <c r="A60" s="6">
        <v>3</v>
      </c>
      <c r="B60" s="9" t="s">
        <v>44</v>
      </c>
      <c r="C60" s="6" t="s">
        <v>13</v>
      </c>
      <c r="D60" s="6">
        <f>22.616*288.02</f>
        <v>6513.8603199999998</v>
      </c>
      <c r="E60" s="11">
        <v>1600</v>
      </c>
      <c r="F60" s="20">
        <f>D60*E60</f>
        <v>10422176.512</v>
      </c>
      <c r="G60" s="6"/>
    </row>
    <row r="61" spans="1:13" ht="36" customHeight="1" x14ac:dyDescent="0.25">
      <c r="A61" s="6">
        <v>4</v>
      </c>
      <c r="B61" s="9" t="s">
        <v>31</v>
      </c>
      <c r="C61" s="6" t="s">
        <v>10</v>
      </c>
      <c r="D61" s="6">
        <v>22.616</v>
      </c>
      <c r="E61" s="11">
        <v>250000</v>
      </c>
      <c r="F61" s="20">
        <f>D61*E61</f>
        <v>5654000</v>
      </c>
      <c r="G61" s="6"/>
    </row>
    <row r="62" spans="1:13" ht="36" customHeight="1" x14ac:dyDescent="0.25">
      <c r="A62" s="6">
        <v>5</v>
      </c>
      <c r="B62" s="5" t="s">
        <v>45</v>
      </c>
      <c r="C62" s="6"/>
      <c r="D62" s="6"/>
      <c r="E62" s="11"/>
      <c r="F62" s="21">
        <f>SUM(F63:F66)</f>
        <v>6608960</v>
      </c>
      <c r="G62" s="6"/>
    </row>
    <row r="63" spans="1:13" ht="36" customHeight="1" x14ac:dyDescent="0.25">
      <c r="A63" s="6">
        <v>6</v>
      </c>
      <c r="B63" s="9" t="s">
        <v>46</v>
      </c>
      <c r="C63" s="6" t="s">
        <v>17</v>
      </c>
      <c r="D63" s="6">
        <v>3</v>
      </c>
      <c r="E63" s="11">
        <v>350000</v>
      </c>
      <c r="F63" s="20">
        <f>D63*E63</f>
        <v>1050000</v>
      </c>
      <c r="G63" s="6"/>
    </row>
    <row r="64" spans="1:13" ht="40.5" customHeight="1" x14ac:dyDescent="0.25">
      <c r="A64" s="6">
        <v>7</v>
      </c>
      <c r="B64" s="9" t="s">
        <v>47</v>
      </c>
      <c r="C64" s="6" t="s">
        <v>15</v>
      </c>
      <c r="D64" s="6">
        <f>(3.1*0.65*4)*2</f>
        <v>16.12</v>
      </c>
      <c r="E64" s="11">
        <v>250000</v>
      </c>
      <c r="F64" s="20">
        <f>D64*E64</f>
        <v>4030000.0000000005</v>
      </c>
      <c r="G64" s="6"/>
      <c r="K64" s="22">
        <f>16*90000</f>
        <v>1440000</v>
      </c>
      <c r="L64" s="22">
        <v>350000</v>
      </c>
      <c r="M64" s="3">
        <f>K64/L64</f>
        <v>4.1142857142857139</v>
      </c>
    </row>
    <row r="65" spans="1:7" ht="40.5" customHeight="1" x14ac:dyDescent="0.25">
      <c r="A65" s="6">
        <v>8</v>
      </c>
      <c r="B65" s="9" t="s">
        <v>48</v>
      </c>
      <c r="C65" s="6" t="s">
        <v>15</v>
      </c>
      <c r="D65" s="6">
        <f>D64*5</f>
        <v>80.600000000000009</v>
      </c>
      <c r="E65" s="11">
        <v>1600</v>
      </c>
      <c r="F65" s="20">
        <f>D65*E65</f>
        <v>128960.00000000001</v>
      </c>
      <c r="G65" s="6"/>
    </row>
    <row r="66" spans="1:7" ht="40.5" customHeight="1" x14ac:dyDescent="0.25">
      <c r="A66" s="6">
        <v>9</v>
      </c>
      <c r="B66" s="9" t="s">
        <v>49</v>
      </c>
      <c r="C66" s="6" t="s">
        <v>17</v>
      </c>
      <c r="D66" s="6">
        <v>4</v>
      </c>
      <c r="E66" s="11">
        <v>350000</v>
      </c>
      <c r="F66" s="20">
        <f>D66*E66</f>
        <v>1400000</v>
      </c>
      <c r="G66" s="6"/>
    </row>
    <row r="67" spans="1:7" ht="36" customHeight="1" x14ac:dyDescent="0.25">
      <c r="A67" s="4" t="s">
        <v>20</v>
      </c>
      <c r="B67" s="4" t="s">
        <v>21</v>
      </c>
      <c r="C67" s="6"/>
      <c r="D67" s="6"/>
      <c r="E67" s="6"/>
      <c r="F67" s="7" t="e">
        <f>F4+#REF!+#REF!+F42+F56</f>
        <v>#REF!</v>
      </c>
      <c r="G67" s="6"/>
    </row>
    <row r="68" spans="1:7" ht="36" customHeight="1" x14ac:dyDescent="0.25">
      <c r="B68" s="15" t="s">
        <v>22</v>
      </c>
      <c r="D68" s="23" t="s">
        <v>50</v>
      </c>
      <c r="E68" s="24"/>
      <c r="F68" s="24"/>
    </row>
    <row r="72" spans="1:7" x14ac:dyDescent="0.25">
      <c r="B72" s="15" t="s">
        <v>23</v>
      </c>
      <c r="D72" s="2" t="s">
        <v>51</v>
      </c>
      <c r="E72" s="2"/>
      <c r="F72" s="2"/>
    </row>
  </sheetData>
  <mergeCells count="7">
    <mergeCell ref="A1:B1"/>
    <mergeCell ref="C1:G1"/>
    <mergeCell ref="A2:G2"/>
    <mergeCell ref="D68:F68"/>
    <mergeCell ref="D72:F72"/>
    <mergeCell ref="C18:G18"/>
    <mergeCell ref="C21:G21"/>
  </mergeCells>
  <pageMargins left="0.2" right="0.2" top="0.28999999999999998" bottom="0.24" header="0.16" footer="0.2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2024-06-19T01:05:17Z</cp:lastPrinted>
  <dcterms:created xsi:type="dcterms:W3CDTF">2022-08-11T01:30:47Z</dcterms:created>
  <dcterms:modified xsi:type="dcterms:W3CDTF">2024-06-19T01:25:52Z</dcterms:modified>
</cp:coreProperties>
</file>